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ATA\Add\Publica\ADB_Finance\2024\ՄԺԾԾ 2025-2027\1189\Համակարգողի տված նյութ\"/>
    </mc:Choice>
  </mc:AlternateContent>
  <bookViews>
    <workbookView xWindow="-120" yWindow="-120" windowWidth="24240" windowHeight="13140"/>
  </bookViews>
  <sheets>
    <sheet name="Sheet1" sheetId="1" r:id="rId1"/>
    <sheet name="Sheet2" sheetId="2" r:id="rId2"/>
    <sheet name="Sheet3" sheetId="3" r:id="rId3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8" i="1" l="1"/>
  <c r="M35" i="1"/>
  <c r="L35" i="1"/>
  <c r="G43" i="1"/>
  <c r="G42" i="1"/>
  <c r="G41" i="1"/>
  <c r="G39" i="1"/>
  <c r="G37" i="1"/>
  <c r="G36" i="1"/>
  <c r="J30" i="1"/>
  <c r="G30" i="1"/>
  <c r="B5" i="3"/>
  <c r="B6" i="3"/>
  <c r="B8" i="3"/>
  <c r="B4" i="3"/>
  <c r="C9" i="2"/>
  <c r="G33" i="1"/>
  <c r="G32" i="1"/>
  <c r="H31" i="1"/>
  <c r="I31" i="1"/>
  <c r="G31" i="1"/>
  <c r="N33" i="1"/>
  <c r="O33" i="1"/>
  <c r="N30" i="1"/>
  <c r="O30" i="1"/>
  <c r="K33" i="1"/>
  <c r="L33" i="1"/>
  <c r="K30" i="1"/>
  <c r="L30" i="1"/>
  <c r="H33" i="1"/>
  <c r="I33" i="1"/>
  <c r="H30" i="1"/>
  <c r="I30" i="1"/>
  <c r="M30" i="1"/>
  <c r="C12" i="2"/>
  <c r="C5" i="2"/>
  <c r="B5" i="2"/>
  <c r="D12" i="2"/>
  <c r="D9" i="2"/>
  <c r="E9" i="2"/>
  <c r="D6" i="2"/>
  <c r="D7" i="2"/>
  <c r="D8" i="2"/>
  <c r="C10" i="2"/>
  <c r="D10" i="2"/>
  <c r="C14" i="2"/>
  <c r="U5" i="1"/>
  <c r="U28" i="1"/>
  <c r="T5" i="1"/>
  <c r="T28" i="1"/>
  <c r="S5" i="1"/>
  <c r="S28" i="1"/>
  <c r="V28" i="1"/>
  <c r="W28" i="1"/>
  <c r="X28" i="1"/>
  <c r="Q6" i="1"/>
  <c r="R6" i="1"/>
  <c r="P7" i="1"/>
  <c r="Q7" i="1"/>
  <c r="R7" i="1"/>
  <c r="Q8" i="1"/>
  <c r="R8" i="1"/>
  <c r="Q9" i="1"/>
  <c r="R9" i="1"/>
  <c r="P10" i="1"/>
  <c r="Q10" i="1"/>
  <c r="R10" i="1"/>
  <c r="Q11" i="1"/>
  <c r="R11" i="1"/>
  <c r="P12" i="1"/>
  <c r="Q12" i="1"/>
  <c r="R12" i="1"/>
  <c r="Q13" i="1"/>
  <c r="R13" i="1"/>
  <c r="Q14" i="1"/>
  <c r="R14" i="1"/>
  <c r="Q15" i="1"/>
  <c r="R15" i="1"/>
  <c r="Q16" i="1"/>
  <c r="R16" i="1"/>
  <c r="Q17" i="1"/>
  <c r="R17" i="1"/>
  <c r="P18" i="1"/>
  <c r="Q18" i="1"/>
  <c r="R18" i="1"/>
  <c r="P19" i="1"/>
  <c r="Q19" i="1"/>
  <c r="R19" i="1"/>
  <c r="Q20" i="1"/>
  <c r="R20" i="1"/>
  <c r="P21" i="1"/>
  <c r="Q21" i="1"/>
  <c r="R21" i="1"/>
  <c r="Q22" i="1"/>
  <c r="R22" i="1"/>
  <c r="Q23" i="1"/>
  <c r="R23" i="1"/>
  <c r="Q24" i="1"/>
  <c r="R24" i="1"/>
  <c r="P25" i="1"/>
  <c r="Q25" i="1"/>
  <c r="R25" i="1"/>
  <c r="Q26" i="1"/>
  <c r="R26" i="1"/>
  <c r="Q5" i="1"/>
  <c r="R5" i="1"/>
  <c r="J28" i="1"/>
  <c r="K28" i="1"/>
  <c r="L28" i="1"/>
  <c r="N6" i="1"/>
  <c r="O6" i="1"/>
  <c r="M7" i="1"/>
  <c r="N7" i="1"/>
  <c r="O7" i="1"/>
  <c r="N8" i="1"/>
  <c r="O8" i="1"/>
  <c r="O9" i="1"/>
  <c r="M10" i="1"/>
  <c r="N10" i="1"/>
  <c r="O10" i="1"/>
  <c r="N11" i="1"/>
  <c r="O11" i="1"/>
  <c r="M12" i="1"/>
  <c r="N12" i="1"/>
  <c r="O12" i="1"/>
  <c r="N13" i="1"/>
  <c r="O13" i="1"/>
  <c r="N14" i="1"/>
  <c r="O14" i="1"/>
  <c r="N15" i="1"/>
  <c r="O15" i="1"/>
  <c r="M16" i="1"/>
  <c r="N16" i="1"/>
  <c r="O16" i="1"/>
  <c r="N17" i="1"/>
  <c r="O17" i="1"/>
  <c r="M18" i="1"/>
  <c r="N18" i="1"/>
  <c r="O18" i="1"/>
  <c r="M19" i="1"/>
  <c r="N19" i="1"/>
  <c r="O19" i="1"/>
  <c r="M20" i="1"/>
  <c r="N20" i="1"/>
  <c r="O20" i="1"/>
  <c r="M21" i="1"/>
  <c r="N21" i="1"/>
  <c r="O21" i="1"/>
  <c r="M22" i="1"/>
  <c r="N22" i="1"/>
  <c r="O22" i="1"/>
  <c r="N23" i="1"/>
  <c r="O23" i="1"/>
  <c r="M24" i="1"/>
  <c r="N24" i="1"/>
  <c r="O24" i="1"/>
  <c r="M25" i="1"/>
  <c r="N25" i="1"/>
  <c r="O25" i="1"/>
  <c r="M26" i="1"/>
  <c r="N26" i="1"/>
  <c r="O26" i="1"/>
  <c r="N5" i="1"/>
  <c r="O5" i="1"/>
  <c r="O28" i="1"/>
  <c r="H9" i="1"/>
  <c r="H28" i="1"/>
  <c r="G8" i="1"/>
  <c r="G14" i="1"/>
  <c r="I28" i="1"/>
  <c r="G6" i="1"/>
  <c r="G5" i="1"/>
  <c r="P5" i="1"/>
  <c r="F6" i="1"/>
  <c r="F7" i="1"/>
  <c r="F8" i="1"/>
  <c r="F9" i="1"/>
  <c r="F10" i="1"/>
  <c r="F11" i="1"/>
  <c r="G11" i="1"/>
  <c r="P11" i="1"/>
  <c r="F12" i="1"/>
  <c r="F13" i="1"/>
  <c r="G13" i="1"/>
  <c r="P13" i="1"/>
  <c r="F14" i="1"/>
  <c r="F15" i="1"/>
  <c r="G15" i="1"/>
  <c r="F16" i="1"/>
  <c r="G16" i="1"/>
  <c r="P16" i="1"/>
  <c r="F17" i="1"/>
  <c r="G17" i="1"/>
  <c r="F18" i="1"/>
  <c r="F19" i="1"/>
  <c r="F20" i="1"/>
  <c r="G20" i="1"/>
  <c r="P20" i="1"/>
  <c r="F21" i="1"/>
  <c r="F22" i="1"/>
  <c r="G22" i="1"/>
  <c r="P22" i="1"/>
  <c r="F23" i="1"/>
  <c r="G23" i="1"/>
  <c r="P23" i="1"/>
  <c r="F24" i="1"/>
  <c r="G24" i="1"/>
  <c r="P24" i="1"/>
  <c r="F25" i="1"/>
  <c r="F26" i="1"/>
  <c r="G26" i="1"/>
  <c r="P26" i="1"/>
  <c r="F5" i="1"/>
  <c r="P15" i="1"/>
  <c r="M15" i="1"/>
  <c r="M17" i="1"/>
  <c r="P17" i="1"/>
  <c r="M11" i="1"/>
  <c r="M23" i="1"/>
  <c r="N9" i="1"/>
  <c r="N28" i="1"/>
  <c r="M13" i="1"/>
  <c r="Q28" i="1"/>
  <c r="R28" i="1"/>
  <c r="G9" i="1"/>
  <c r="G28" i="1"/>
  <c r="P9" i="1"/>
  <c r="P28" i="1"/>
  <c r="M9" i="1"/>
  <c r="M28" i="1"/>
</calcChain>
</file>

<file path=xl/sharedStrings.xml><?xml version="1.0" encoding="utf-8"?>
<sst xmlns="http://schemas.openxmlformats.org/spreadsheetml/2006/main" count="78" uniqueCount="64">
  <si>
    <t>Աբովյանի թիվ 2 հիմնական դպրոց</t>
  </si>
  <si>
    <t>Ալավերդու թիվ 2 հիմնական դպրոց</t>
  </si>
  <si>
    <t>Արագածավանի թիվ 1 միջնակարգ դպրոց</t>
  </si>
  <si>
    <t>Արթիկի թիվ 2 հիմնական դպրոց</t>
  </si>
  <si>
    <t>Ճամբարակի թիվ 1 հիմնական դպրոց</t>
  </si>
  <si>
    <t>Գեղհովիտի թիվ 2 միջնակարգ դպրոց</t>
  </si>
  <si>
    <t>Գետափի միջնակարգ դպրոց</t>
  </si>
  <si>
    <t>Հայանիստի միջնակարգ դպրոց</t>
  </si>
  <si>
    <t>Հնաբերդի միջնակարգ դպրոց</t>
  </si>
  <si>
    <t>Հովտաշատի միջնակարգ դպրոց</t>
  </si>
  <si>
    <t>Ջրարբիի միջնակարգ դպրոց</t>
  </si>
  <si>
    <t>Կամարիսի միջնակարգ դպրոց</t>
  </si>
  <si>
    <t>Մասիսի թիվ 3 հիմնական դպրոց</t>
  </si>
  <si>
    <t>Մրգաշատի թիվ 1 միջնակարգ դպրոց</t>
  </si>
  <si>
    <t>Սասունիկի միջնակարգ դպրոց</t>
  </si>
  <si>
    <t>Շենավանի միջնակարգ դպրոց</t>
  </si>
  <si>
    <t>Վանաշենի միջնակարգ դպրոց</t>
  </si>
  <si>
    <t>Երանոսի թիվ 2 միջնակարգ դպրոց</t>
  </si>
  <si>
    <t>Երևանի թիվ 45 հիմնական դպրոց</t>
  </si>
  <si>
    <t>Երևանի թիվ 68 հիմնական դպրոց</t>
  </si>
  <si>
    <t>Հակոբ Կոջոյան կրթահամալիր</t>
  </si>
  <si>
    <t>Երևանի թիվ 148 ավագ դպրոց</t>
  </si>
  <si>
    <t>Դպրոցի անվանումը</t>
  </si>
  <si>
    <t>Պայմանագրի գումար</t>
  </si>
  <si>
    <t>Վճարում</t>
  </si>
  <si>
    <t>Պայմանագրի ավարտ</t>
  </si>
  <si>
    <t>30/7/24</t>
  </si>
  <si>
    <t>18/11/25</t>
  </si>
  <si>
    <t>18/8/25</t>
  </si>
  <si>
    <t>13/11/25</t>
  </si>
  <si>
    <t>30/12/24</t>
  </si>
  <si>
    <t>23/1/26</t>
  </si>
  <si>
    <t>21/8/25</t>
  </si>
  <si>
    <t>23/11/25</t>
  </si>
  <si>
    <t>ՀՀ Կոտայքի մարզ</t>
  </si>
  <si>
    <t>ՀՀ Լոռու մարզ</t>
  </si>
  <si>
    <t>ՀՀ Արագածոտնի մարզ</t>
  </si>
  <si>
    <t>ՀՀ Շիրակի մարզ</t>
  </si>
  <si>
    <t>ՀՀ Գեղարքունիքի մարզ</t>
  </si>
  <si>
    <t>ՀՀ Վայոց ձորի մարզ</t>
  </si>
  <si>
    <t>ՀՀ Արարատի մարզ</t>
  </si>
  <si>
    <t>ՀՀ Արմավիրի մարզ</t>
  </si>
  <si>
    <t>Երևան</t>
  </si>
  <si>
    <t>Մարզ</t>
  </si>
  <si>
    <t>Տարբերություն</t>
  </si>
  <si>
    <t>Ընդամենը</t>
  </si>
  <si>
    <t>Շինարարություն</t>
  </si>
  <si>
    <t>Նախագծում</t>
  </si>
  <si>
    <t>Տեխնիկական հսկողություն</t>
  </si>
  <si>
    <t>Հեղինակային հսկողություն</t>
  </si>
  <si>
    <t>Խորհրդատվություն</t>
  </si>
  <si>
    <t>Այլ հարկեր</t>
  </si>
  <si>
    <t>Available funds under main Loan</t>
  </si>
  <si>
    <t>Estimated in AMD</t>
  </si>
  <si>
    <t>2024 operating costs</t>
  </si>
  <si>
    <t>2024 cons servises</t>
  </si>
  <si>
    <t>2024 CW and supervisions</t>
  </si>
  <si>
    <t>Balance for 2025-2026</t>
  </si>
  <si>
    <t>Balance on DA as of 01.01.2024</t>
  </si>
  <si>
    <t>to be refunded to Budget</t>
  </si>
  <si>
    <t>AF</t>
  </si>
  <si>
    <t>Original Loan</t>
  </si>
  <si>
    <t>5112-cons</t>
  </si>
  <si>
    <t>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</si>
</sst>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</fills>
  <borders count="14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 applyAlignment="1">
      <alignment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4" fontId="0" fillId="0" borderId="0" xfId="2" applyFont="1"/>
    <xf numFmtId="43" fontId="0" fillId="0" borderId="0" xfId="1" applyFont="1"/>
    <xf numFmtId="165" fontId="0" fillId="0" borderId="0" xfId="1" applyNumberFormat="1" applyFont="1"/>
    <xf numFmtId="165" fontId="0" fillId="0" borderId="0" xfId="0" applyNumberFormat="1"/>
    <xf numFmtId="43" fontId="1" fillId="0" borderId="0" xfId="1" applyFont="1" applyAlignment="1">
      <alignment vertical="center"/>
    </xf>
    <xf numFmtId="165" fontId="1" fillId="0" borderId="0" xfId="1" applyNumberFormat="1" applyFont="1" applyAlignment="1">
      <alignment vertical="center"/>
    </xf>
    <xf numFmtId="165" fontId="1" fillId="0" borderId="1" xfId="1" applyNumberFormat="1" applyFont="1" applyBorder="1" applyAlignment="1">
      <alignment horizontal="center" vertical="center"/>
    </xf>
    <xf numFmtId="165" fontId="3" fillId="2" borderId="1" xfId="1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165" fontId="1" fillId="0" borderId="1" xfId="1" applyNumberFormat="1" applyFont="1" applyBorder="1" applyAlignment="1">
      <alignment horizontal="center" vertical="center"/>
    </xf>
    <xf numFmtId="165" fontId="1" fillId="0" borderId="6" xfId="1" applyNumberFormat="1" applyFont="1" applyBorder="1" applyAlignment="1">
      <alignment vertical="center"/>
    </xf>
    <xf numFmtId="165" fontId="1" fillId="0" borderId="7" xfId="1" applyNumberFormat="1" applyFont="1" applyBorder="1" applyAlignment="1">
      <alignment vertical="center"/>
    </xf>
    <xf numFmtId="165" fontId="1" fillId="0" borderId="8" xfId="1" applyNumberFormat="1" applyFont="1" applyBorder="1" applyAlignment="1">
      <alignment vertical="center"/>
    </xf>
    <xf numFmtId="165" fontId="1" fillId="0" borderId="9" xfId="1" applyNumberFormat="1" applyFont="1" applyBorder="1" applyAlignment="1">
      <alignment vertical="center"/>
    </xf>
    <xf numFmtId="165" fontId="1" fillId="0" borderId="10" xfId="1" applyNumberFormat="1" applyFont="1" applyBorder="1" applyAlignment="1">
      <alignment vertical="center"/>
    </xf>
    <xf numFmtId="165" fontId="1" fillId="0" borderId="11" xfId="1" applyNumberFormat="1" applyFont="1" applyBorder="1" applyAlignment="1">
      <alignment vertical="center"/>
    </xf>
    <xf numFmtId="165" fontId="2" fillId="3" borderId="1" xfId="1" applyNumberFormat="1" applyFont="1" applyFill="1" applyBorder="1" applyAlignment="1">
      <alignment horizontal="center" vertical="center" wrapText="1"/>
    </xf>
    <xf numFmtId="165" fontId="1" fillId="0" borderId="12" xfId="1" applyNumberFormat="1" applyFont="1" applyBorder="1" applyAlignment="1">
      <alignment vertical="center"/>
    </xf>
    <xf numFmtId="165" fontId="1" fillId="0" borderId="0" xfId="1" applyNumberFormat="1" applyFont="1" applyBorder="1" applyAlignment="1">
      <alignment vertical="center"/>
    </xf>
    <xf numFmtId="165" fontId="1" fillId="0" borderId="13" xfId="1" applyNumberFormat="1" applyFont="1" applyBorder="1" applyAlignment="1">
      <alignment vertical="center"/>
    </xf>
    <xf numFmtId="43" fontId="0" fillId="0" borderId="0" xfId="0" applyNumberForma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43"/>
  <sheetViews>
    <sheetView tabSelected="1" topLeftCell="D1" workbookViewId="0">
      <selection activeCell="N41" sqref="N41"/>
    </sheetView>
  </sheetViews>
  <sheetFormatPr defaultRowHeight="15.75" x14ac:dyDescent="0.25"/>
  <cols>
    <col min="1" max="1" width="27.85546875" style="1" customWidth="1"/>
    <col min="2" max="2" width="46.7109375" style="1" bestFit="1" customWidth="1"/>
    <col min="3" max="3" width="22.140625" style="1" customWidth="1"/>
    <col min="4" max="4" width="20.28515625" style="1" customWidth="1"/>
    <col min="5" max="5" width="13.28515625" style="1" customWidth="1"/>
    <col min="6" max="6" width="18.5703125" style="1" customWidth="1"/>
    <col min="7" max="7" width="15.7109375" style="19" bestFit="1" customWidth="1"/>
    <col min="8" max="8" width="11.5703125" style="19" bestFit="1" customWidth="1"/>
    <col min="9" max="9" width="14.5703125" style="19" bestFit="1" customWidth="1"/>
    <col min="10" max="10" width="15.7109375" style="19" bestFit="1" customWidth="1"/>
    <col min="11" max="11" width="11.5703125" style="19" bestFit="1" customWidth="1"/>
    <col min="12" max="12" width="14.5703125" style="19" bestFit="1" customWidth="1"/>
    <col min="13" max="13" width="15.7109375" style="19" bestFit="1" customWidth="1"/>
    <col min="14" max="15" width="11.5703125" style="19" bestFit="1" customWidth="1"/>
    <col min="16" max="17" width="9.140625" style="1"/>
    <col min="18" max="18" width="10.5703125" style="1" customWidth="1"/>
    <col min="19" max="16384" width="9.140625" style="1"/>
  </cols>
  <sheetData>
    <row r="2" spans="1:24" ht="16.5" thickBot="1" x14ac:dyDescent="0.3"/>
    <row r="3" spans="1:24" ht="17.25" thickTop="1" thickBot="1" x14ac:dyDescent="0.3">
      <c r="G3" s="20" t="s">
        <v>46</v>
      </c>
      <c r="H3" s="20"/>
      <c r="I3" s="20"/>
      <c r="J3" s="20" t="s">
        <v>47</v>
      </c>
      <c r="K3" s="20"/>
      <c r="L3" s="20"/>
      <c r="M3" s="20" t="s">
        <v>48</v>
      </c>
      <c r="N3" s="20"/>
      <c r="O3" s="20"/>
      <c r="P3" s="9" t="s">
        <v>49</v>
      </c>
      <c r="Q3" s="9"/>
      <c r="R3" s="9"/>
      <c r="S3" s="9" t="s">
        <v>50</v>
      </c>
      <c r="T3" s="9"/>
      <c r="U3" s="9"/>
      <c r="V3" s="9" t="s">
        <v>51</v>
      </c>
      <c r="W3" s="9"/>
      <c r="X3" s="9"/>
    </row>
    <row r="4" spans="1:24" ht="31.5" thickTop="1" thickBot="1" x14ac:dyDescent="0.3">
      <c r="A4" s="6" t="s">
        <v>43</v>
      </c>
      <c r="B4" s="6" t="s">
        <v>22</v>
      </c>
      <c r="C4" s="6" t="s">
        <v>25</v>
      </c>
      <c r="D4" s="6" t="s">
        <v>23</v>
      </c>
      <c r="E4" s="6" t="s">
        <v>24</v>
      </c>
      <c r="F4" s="8" t="s">
        <v>44</v>
      </c>
      <c r="G4" s="21">
        <v>2025</v>
      </c>
      <c r="H4" s="21">
        <v>2026</v>
      </c>
      <c r="I4" s="21">
        <v>2027</v>
      </c>
      <c r="J4" s="21">
        <v>2025</v>
      </c>
      <c r="K4" s="21">
        <v>2026</v>
      </c>
      <c r="L4" s="21">
        <v>2027</v>
      </c>
      <c r="M4" s="21">
        <v>2025</v>
      </c>
      <c r="N4" s="21">
        <v>2026</v>
      </c>
      <c r="O4" s="21">
        <v>2027</v>
      </c>
      <c r="P4" s="6">
        <v>2025</v>
      </c>
      <c r="Q4" s="6">
        <v>2026</v>
      </c>
      <c r="R4" s="6">
        <v>2027</v>
      </c>
      <c r="S4" s="6">
        <v>2025</v>
      </c>
      <c r="T4" s="6">
        <v>2026</v>
      </c>
      <c r="U4" s="6">
        <v>2027</v>
      </c>
      <c r="V4" s="6">
        <v>2025</v>
      </c>
      <c r="W4" s="6">
        <v>2026</v>
      </c>
      <c r="X4" s="6">
        <v>2027</v>
      </c>
    </row>
    <row r="5" spans="1:24" ht="17.25" thickTop="1" thickBot="1" x14ac:dyDescent="0.3">
      <c r="A5" s="6" t="s">
        <v>34</v>
      </c>
      <c r="B5" s="6" t="s">
        <v>0</v>
      </c>
      <c r="C5" s="4">
        <v>45965</v>
      </c>
      <c r="D5" s="2">
        <v>3587597</v>
      </c>
      <c r="E5" s="2">
        <v>2218985</v>
      </c>
      <c r="F5" s="2">
        <f>+D5-E5</f>
        <v>1368612</v>
      </c>
      <c r="G5" s="30">
        <f>D5*5%</f>
        <v>179379.85</v>
      </c>
      <c r="H5" s="22">
        <v>0</v>
      </c>
      <c r="I5" s="22">
        <v>0</v>
      </c>
      <c r="J5" s="22">
        <v>0</v>
      </c>
      <c r="K5" s="22">
        <v>0</v>
      </c>
      <c r="L5" s="22">
        <v>0</v>
      </c>
      <c r="M5" s="22">
        <v>0</v>
      </c>
      <c r="N5" s="22">
        <f t="shared" ref="N5:O5" si="0">+H5*2.5%</f>
        <v>0</v>
      </c>
      <c r="O5" s="22">
        <f t="shared" si="0"/>
        <v>0</v>
      </c>
      <c r="P5" s="2">
        <f>G5*0.6%</f>
        <v>1076.2791</v>
      </c>
      <c r="Q5" s="2">
        <f t="shared" ref="Q5:R5" si="1">H5*0.6%</f>
        <v>0</v>
      </c>
      <c r="R5" s="2">
        <f t="shared" si="1"/>
        <v>0</v>
      </c>
      <c r="S5" s="11">
        <f>4*570*12+10000</f>
        <v>37360</v>
      </c>
      <c r="T5" s="11">
        <f>4*570*12+10000</f>
        <v>37360</v>
      </c>
      <c r="U5" s="11">
        <f>4*570*12+10000</f>
        <v>37360</v>
      </c>
      <c r="V5" s="11">
        <v>10000</v>
      </c>
      <c r="W5" s="11">
        <v>10000</v>
      </c>
      <c r="X5" s="11">
        <v>10000</v>
      </c>
    </row>
    <row r="6" spans="1:24" ht="17.25" thickTop="1" thickBot="1" x14ac:dyDescent="0.3">
      <c r="A6" s="6" t="s">
        <v>35</v>
      </c>
      <c r="B6" s="6" t="s">
        <v>1</v>
      </c>
      <c r="C6" s="5" t="s">
        <v>26</v>
      </c>
      <c r="D6" s="2">
        <v>1495189</v>
      </c>
      <c r="E6" s="2">
        <v>497279</v>
      </c>
      <c r="F6" s="2">
        <f t="shared" ref="F6:F26" si="2">+D6-E6</f>
        <v>997910</v>
      </c>
      <c r="G6" s="30">
        <f>D6*5%</f>
        <v>74759.45</v>
      </c>
      <c r="H6" s="22">
        <v>0</v>
      </c>
      <c r="I6" s="22">
        <v>0</v>
      </c>
      <c r="J6" s="22">
        <v>0</v>
      </c>
      <c r="K6" s="22">
        <v>0</v>
      </c>
      <c r="L6" s="22">
        <v>0</v>
      </c>
      <c r="M6" s="22">
        <v>0</v>
      </c>
      <c r="N6" s="22">
        <f t="shared" ref="N6:N26" si="3">+H6*2.5%</f>
        <v>0</v>
      </c>
      <c r="O6" s="22">
        <f t="shared" ref="O6:O26" si="4">+I6*2.5%</f>
        <v>0</v>
      </c>
      <c r="P6" s="2">
        <v>0</v>
      </c>
      <c r="Q6" s="2">
        <f t="shared" ref="Q6:Q26" si="5">H6*0.6%</f>
        <v>0</v>
      </c>
      <c r="R6" s="2">
        <f t="shared" ref="R6:R26" si="6">I6*0.6%</f>
        <v>0</v>
      </c>
      <c r="S6" s="12"/>
      <c r="T6" s="12"/>
      <c r="U6" s="12"/>
      <c r="V6" s="12"/>
      <c r="W6" s="12"/>
      <c r="X6" s="12"/>
    </row>
    <row r="7" spans="1:24" ht="17.25" thickTop="1" thickBot="1" x14ac:dyDescent="0.3">
      <c r="A7" s="6" t="s">
        <v>36</v>
      </c>
      <c r="B7" s="6" t="s">
        <v>2</v>
      </c>
      <c r="C7" s="5" t="s">
        <v>27</v>
      </c>
      <c r="D7" s="2">
        <v>2327317</v>
      </c>
      <c r="E7" s="2">
        <v>756100</v>
      </c>
      <c r="F7" s="2">
        <f t="shared" si="2"/>
        <v>1571217</v>
      </c>
      <c r="G7" s="22">
        <v>800000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f t="shared" ref="M7:M26" si="7">+G7*2.5%</f>
        <v>20000</v>
      </c>
      <c r="N7" s="22">
        <f t="shared" si="3"/>
        <v>0</v>
      </c>
      <c r="O7" s="22">
        <f t="shared" si="4"/>
        <v>0</v>
      </c>
      <c r="P7" s="2">
        <f t="shared" ref="P7:P26" si="8">G7*0.6%</f>
        <v>4800</v>
      </c>
      <c r="Q7" s="2">
        <f t="shared" si="5"/>
        <v>0</v>
      </c>
      <c r="R7" s="2">
        <f t="shared" si="6"/>
        <v>0</v>
      </c>
      <c r="S7" s="12"/>
      <c r="T7" s="12"/>
      <c r="U7" s="12"/>
      <c r="V7" s="12"/>
      <c r="W7" s="12"/>
      <c r="X7" s="12"/>
    </row>
    <row r="8" spans="1:24" ht="17.25" thickTop="1" thickBot="1" x14ac:dyDescent="0.3">
      <c r="A8" s="6" t="s">
        <v>37</v>
      </c>
      <c r="B8" s="6" t="s">
        <v>3</v>
      </c>
      <c r="C8" s="5" t="s">
        <v>26</v>
      </c>
      <c r="D8" s="2">
        <v>1521521</v>
      </c>
      <c r="E8" s="2">
        <v>534972</v>
      </c>
      <c r="F8" s="2">
        <f t="shared" si="2"/>
        <v>986549</v>
      </c>
      <c r="G8" s="30">
        <f>D8*5%</f>
        <v>76076.05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f t="shared" si="3"/>
        <v>0</v>
      </c>
      <c r="O8" s="22">
        <f t="shared" si="4"/>
        <v>0</v>
      </c>
      <c r="P8" s="2">
        <v>0</v>
      </c>
      <c r="Q8" s="2">
        <f t="shared" si="5"/>
        <v>0</v>
      </c>
      <c r="R8" s="2">
        <f t="shared" si="6"/>
        <v>0</v>
      </c>
      <c r="S8" s="12"/>
      <c r="T8" s="12"/>
      <c r="U8" s="12"/>
      <c r="V8" s="12"/>
      <c r="W8" s="12"/>
      <c r="X8" s="12"/>
    </row>
    <row r="9" spans="1:24" ht="17.25" thickTop="1" thickBot="1" x14ac:dyDescent="0.3">
      <c r="A9" s="6" t="s">
        <v>38</v>
      </c>
      <c r="B9" s="6" t="s">
        <v>4</v>
      </c>
      <c r="C9" s="4">
        <v>45998</v>
      </c>
      <c r="D9" s="2">
        <v>1870385</v>
      </c>
      <c r="E9" s="2">
        <v>747924</v>
      </c>
      <c r="F9" s="2">
        <f t="shared" si="2"/>
        <v>1122461</v>
      </c>
      <c r="G9" s="22">
        <f>F9-500000-H9</f>
        <v>528941.75</v>
      </c>
      <c r="H9" s="22">
        <f>+D9*5%</f>
        <v>93519.25</v>
      </c>
      <c r="I9" s="22">
        <v>0</v>
      </c>
      <c r="J9" s="22">
        <v>0</v>
      </c>
      <c r="K9" s="22">
        <v>0</v>
      </c>
      <c r="L9" s="22">
        <v>0</v>
      </c>
      <c r="M9" s="22">
        <f t="shared" si="7"/>
        <v>13223.543750000001</v>
      </c>
      <c r="N9" s="22">
        <f t="shared" si="3"/>
        <v>2337.9812500000003</v>
      </c>
      <c r="O9" s="22">
        <f t="shared" si="4"/>
        <v>0</v>
      </c>
      <c r="P9" s="2">
        <f t="shared" si="8"/>
        <v>3173.6505000000002</v>
      </c>
      <c r="Q9" s="2">
        <f t="shared" si="5"/>
        <v>561.1155</v>
      </c>
      <c r="R9" s="2">
        <f t="shared" si="6"/>
        <v>0</v>
      </c>
      <c r="S9" s="12"/>
      <c r="T9" s="12"/>
      <c r="U9" s="12"/>
      <c r="V9" s="12"/>
      <c r="W9" s="12"/>
      <c r="X9" s="12"/>
    </row>
    <row r="10" spans="1:24" ht="17.25" thickTop="1" thickBot="1" x14ac:dyDescent="0.3">
      <c r="A10" s="6" t="s">
        <v>38</v>
      </c>
      <c r="B10" s="6" t="s">
        <v>5</v>
      </c>
      <c r="C10" s="5" t="s">
        <v>28</v>
      </c>
      <c r="D10" s="2">
        <v>1352351</v>
      </c>
      <c r="E10" s="2">
        <v>435144</v>
      </c>
      <c r="F10" s="2">
        <f t="shared" si="2"/>
        <v>917207</v>
      </c>
      <c r="G10" s="22">
        <v>500000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f t="shared" si="7"/>
        <v>12500</v>
      </c>
      <c r="N10" s="22">
        <f t="shared" si="3"/>
        <v>0</v>
      </c>
      <c r="O10" s="22">
        <f t="shared" si="4"/>
        <v>0</v>
      </c>
      <c r="P10" s="2">
        <f t="shared" si="8"/>
        <v>3000</v>
      </c>
      <c r="Q10" s="2">
        <f t="shared" si="5"/>
        <v>0</v>
      </c>
      <c r="R10" s="2">
        <f t="shared" si="6"/>
        <v>0</v>
      </c>
      <c r="S10" s="12"/>
      <c r="T10" s="12"/>
      <c r="U10" s="12"/>
      <c r="V10" s="12"/>
      <c r="W10" s="12"/>
      <c r="X10" s="12"/>
    </row>
    <row r="11" spans="1:24" ht="17.25" thickTop="1" thickBot="1" x14ac:dyDescent="0.3">
      <c r="A11" s="6" t="s">
        <v>39</v>
      </c>
      <c r="B11" s="6" t="s">
        <v>6</v>
      </c>
      <c r="C11" s="3"/>
      <c r="D11" s="2">
        <v>2000000</v>
      </c>
      <c r="E11" s="2">
        <v>0</v>
      </c>
      <c r="F11" s="2">
        <f t="shared" si="2"/>
        <v>2000000</v>
      </c>
      <c r="G11" s="22">
        <f>F11*20%</f>
        <v>400000</v>
      </c>
      <c r="H11" s="22">
        <v>800000</v>
      </c>
      <c r="I11" s="22">
        <v>800000</v>
      </c>
      <c r="J11" s="22">
        <v>0</v>
      </c>
      <c r="K11" s="22">
        <v>0</v>
      </c>
      <c r="L11" s="22">
        <v>0</v>
      </c>
      <c r="M11" s="22">
        <f t="shared" si="7"/>
        <v>10000</v>
      </c>
      <c r="N11" s="22">
        <f t="shared" si="3"/>
        <v>20000</v>
      </c>
      <c r="O11" s="22">
        <f t="shared" si="4"/>
        <v>20000</v>
      </c>
      <c r="P11" s="2">
        <f t="shared" si="8"/>
        <v>2400</v>
      </c>
      <c r="Q11" s="2">
        <f t="shared" si="5"/>
        <v>4800</v>
      </c>
      <c r="R11" s="2">
        <f t="shared" si="6"/>
        <v>4800</v>
      </c>
      <c r="S11" s="12"/>
      <c r="T11" s="12"/>
      <c r="U11" s="12"/>
      <c r="V11" s="12"/>
      <c r="W11" s="12"/>
      <c r="X11" s="12"/>
    </row>
    <row r="12" spans="1:24" ht="17.25" thickTop="1" thickBot="1" x14ac:dyDescent="0.3">
      <c r="A12" s="6" t="s">
        <v>40</v>
      </c>
      <c r="B12" s="6" t="s">
        <v>7</v>
      </c>
      <c r="C12" s="5" t="s">
        <v>29</v>
      </c>
      <c r="D12" s="2">
        <v>2400407</v>
      </c>
      <c r="E12" s="2">
        <v>650023</v>
      </c>
      <c r="F12" s="2">
        <f t="shared" si="2"/>
        <v>1750384</v>
      </c>
      <c r="G12" s="22">
        <v>800000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f t="shared" si="7"/>
        <v>20000</v>
      </c>
      <c r="N12" s="22">
        <f t="shared" si="3"/>
        <v>0</v>
      </c>
      <c r="O12" s="22">
        <f t="shared" si="4"/>
        <v>0</v>
      </c>
      <c r="P12" s="2">
        <f t="shared" si="8"/>
        <v>4800</v>
      </c>
      <c r="Q12" s="2">
        <f t="shared" si="5"/>
        <v>0</v>
      </c>
      <c r="R12" s="2">
        <f t="shared" si="6"/>
        <v>0</v>
      </c>
      <c r="S12" s="12"/>
      <c r="T12" s="12"/>
      <c r="U12" s="12"/>
      <c r="V12" s="12"/>
      <c r="W12" s="12"/>
      <c r="X12" s="12"/>
    </row>
    <row r="13" spans="1:24" ht="17.25" thickTop="1" thickBot="1" x14ac:dyDescent="0.3">
      <c r="A13" s="6" t="s">
        <v>36</v>
      </c>
      <c r="B13" s="6" t="s">
        <v>8</v>
      </c>
      <c r="C13" s="3"/>
      <c r="D13" s="2">
        <v>2000000</v>
      </c>
      <c r="E13" s="2">
        <v>0</v>
      </c>
      <c r="F13" s="2">
        <f t="shared" si="2"/>
        <v>2000000</v>
      </c>
      <c r="G13" s="22">
        <f>F13*20%</f>
        <v>400000</v>
      </c>
      <c r="H13" s="22">
        <v>800000</v>
      </c>
      <c r="I13" s="22">
        <v>800000</v>
      </c>
      <c r="J13" s="22">
        <v>0</v>
      </c>
      <c r="K13" s="22">
        <v>0</v>
      </c>
      <c r="L13" s="22">
        <v>0</v>
      </c>
      <c r="M13" s="22">
        <f t="shared" si="7"/>
        <v>10000</v>
      </c>
      <c r="N13" s="22">
        <f t="shared" si="3"/>
        <v>20000</v>
      </c>
      <c r="O13" s="22">
        <f t="shared" si="4"/>
        <v>20000</v>
      </c>
      <c r="P13" s="2">
        <f t="shared" si="8"/>
        <v>2400</v>
      </c>
      <c r="Q13" s="2">
        <f t="shared" si="5"/>
        <v>4800</v>
      </c>
      <c r="R13" s="2">
        <f t="shared" si="6"/>
        <v>4800</v>
      </c>
      <c r="S13" s="12"/>
      <c r="T13" s="12"/>
      <c r="U13" s="12"/>
      <c r="V13" s="12"/>
      <c r="W13" s="12"/>
      <c r="X13" s="12"/>
    </row>
    <row r="14" spans="1:24" ht="17.25" thickTop="1" thickBot="1" x14ac:dyDescent="0.3">
      <c r="A14" s="6" t="s">
        <v>40</v>
      </c>
      <c r="B14" s="6" t="s">
        <v>9</v>
      </c>
      <c r="C14" s="5" t="s">
        <v>30</v>
      </c>
      <c r="D14" s="2">
        <v>1907131</v>
      </c>
      <c r="E14" s="2">
        <v>725644</v>
      </c>
      <c r="F14" s="2">
        <f t="shared" si="2"/>
        <v>1181487</v>
      </c>
      <c r="G14" s="22">
        <f>D14*5%</f>
        <v>95356.55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f t="shared" si="3"/>
        <v>0</v>
      </c>
      <c r="O14" s="22">
        <f t="shared" si="4"/>
        <v>0</v>
      </c>
      <c r="P14" s="2">
        <v>0</v>
      </c>
      <c r="Q14" s="2">
        <f t="shared" si="5"/>
        <v>0</v>
      </c>
      <c r="R14" s="2">
        <f t="shared" si="6"/>
        <v>0</v>
      </c>
      <c r="S14" s="12"/>
      <c r="T14" s="12"/>
      <c r="U14" s="12"/>
      <c r="V14" s="12"/>
      <c r="W14" s="12"/>
      <c r="X14" s="12"/>
    </row>
    <row r="15" spans="1:24" ht="17.25" thickTop="1" thickBot="1" x14ac:dyDescent="0.3">
      <c r="A15" s="6" t="s">
        <v>41</v>
      </c>
      <c r="B15" s="6" t="s">
        <v>10</v>
      </c>
      <c r="C15" s="3"/>
      <c r="D15" s="2">
        <v>2000000</v>
      </c>
      <c r="E15" s="2">
        <v>0</v>
      </c>
      <c r="F15" s="2">
        <f t="shared" si="2"/>
        <v>2000000</v>
      </c>
      <c r="G15" s="22">
        <f>F15*20%</f>
        <v>400000</v>
      </c>
      <c r="H15" s="22">
        <v>800000</v>
      </c>
      <c r="I15" s="22">
        <v>800000</v>
      </c>
      <c r="J15" s="22">
        <v>0</v>
      </c>
      <c r="K15" s="22">
        <v>0</v>
      </c>
      <c r="L15" s="22">
        <v>0</v>
      </c>
      <c r="M15" s="22">
        <f t="shared" si="7"/>
        <v>10000</v>
      </c>
      <c r="N15" s="22">
        <f t="shared" si="3"/>
        <v>20000</v>
      </c>
      <c r="O15" s="22">
        <f t="shared" si="4"/>
        <v>20000</v>
      </c>
      <c r="P15" s="2">
        <f t="shared" si="8"/>
        <v>2400</v>
      </c>
      <c r="Q15" s="2">
        <f t="shared" si="5"/>
        <v>4800</v>
      </c>
      <c r="R15" s="2">
        <f t="shared" si="6"/>
        <v>4800</v>
      </c>
      <c r="S15" s="12"/>
      <c r="T15" s="12"/>
      <c r="U15" s="12"/>
      <c r="V15" s="12"/>
      <c r="W15" s="12"/>
      <c r="X15" s="12"/>
    </row>
    <row r="16" spans="1:24" ht="17.25" thickTop="1" thickBot="1" x14ac:dyDescent="0.3">
      <c r="A16" s="6" t="s">
        <v>34</v>
      </c>
      <c r="B16" s="6" t="s">
        <v>11</v>
      </c>
      <c r="C16" s="3"/>
      <c r="D16" s="2">
        <v>2000000</v>
      </c>
      <c r="E16" s="2">
        <v>0</v>
      </c>
      <c r="F16" s="2">
        <f t="shared" si="2"/>
        <v>2000000</v>
      </c>
      <c r="G16" s="22">
        <f>F16*20%</f>
        <v>400000</v>
      </c>
      <c r="H16" s="22">
        <v>800000</v>
      </c>
      <c r="I16" s="22">
        <v>800000</v>
      </c>
      <c r="J16" s="22">
        <v>0</v>
      </c>
      <c r="K16" s="22">
        <v>0</v>
      </c>
      <c r="L16" s="22">
        <v>0</v>
      </c>
      <c r="M16" s="22">
        <f t="shared" si="7"/>
        <v>10000</v>
      </c>
      <c r="N16" s="22">
        <f t="shared" si="3"/>
        <v>20000</v>
      </c>
      <c r="O16" s="22">
        <f t="shared" si="4"/>
        <v>20000</v>
      </c>
      <c r="P16" s="2">
        <f t="shared" si="8"/>
        <v>2400</v>
      </c>
      <c r="Q16" s="2">
        <f t="shared" si="5"/>
        <v>4800</v>
      </c>
      <c r="R16" s="2">
        <f t="shared" si="6"/>
        <v>4800</v>
      </c>
      <c r="S16" s="12"/>
      <c r="T16" s="12"/>
      <c r="U16" s="12"/>
      <c r="V16" s="12"/>
      <c r="W16" s="12"/>
      <c r="X16" s="12"/>
    </row>
    <row r="17" spans="1:24" ht="17.25" thickTop="1" thickBot="1" x14ac:dyDescent="0.3">
      <c r="A17" s="6" t="s">
        <v>40</v>
      </c>
      <c r="B17" s="6" t="s">
        <v>12</v>
      </c>
      <c r="C17" s="3"/>
      <c r="D17" s="2">
        <v>3500000</v>
      </c>
      <c r="E17" s="2">
        <v>0</v>
      </c>
      <c r="F17" s="2">
        <f t="shared" si="2"/>
        <v>3500000</v>
      </c>
      <c r="G17" s="22">
        <f>F17*20%</f>
        <v>700000</v>
      </c>
      <c r="H17" s="22">
        <v>800000</v>
      </c>
      <c r="I17" s="22">
        <v>800000</v>
      </c>
      <c r="J17" s="22">
        <v>0</v>
      </c>
      <c r="K17" s="22">
        <v>0</v>
      </c>
      <c r="L17" s="22">
        <v>0</v>
      </c>
      <c r="M17" s="22">
        <f t="shared" si="7"/>
        <v>17500</v>
      </c>
      <c r="N17" s="22">
        <f t="shared" si="3"/>
        <v>20000</v>
      </c>
      <c r="O17" s="22">
        <f t="shared" si="4"/>
        <v>20000</v>
      </c>
      <c r="P17" s="2">
        <f t="shared" si="8"/>
        <v>4200</v>
      </c>
      <c r="Q17" s="2">
        <f t="shared" si="5"/>
        <v>4800</v>
      </c>
      <c r="R17" s="2">
        <f t="shared" si="6"/>
        <v>4800</v>
      </c>
      <c r="S17" s="12"/>
      <c r="T17" s="12"/>
      <c r="U17" s="12"/>
      <c r="V17" s="12"/>
      <c r="W17" s="12"/>
      <c r="X17" s="12"/>
    </row>
    <row r="18" spans="1:24" ht="17.25" thickTop="1" thickBot="1" x14ac:dyDescent="0.3">
      <c r="A18" s="6" t="s">
        <v>41</v>
      </c>
      <c r="B18" s="6" t="s">
        <v>13</v>
      </c>
      <c r="C18" s="5" t="s">
        <v>31</v>
      </c>
      <c r="D18" s="2">
        <v>2247950</v>
      </c>
      <c r="E18" s="2">
        <v>224790</v>
      </c>
      <c r="F18" s="2">
        <f t="shared" si="2"/>
        <v>2023160</v>
      </c>
      <c r="G18" s="22">
        <v>1200000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f t="shared" si="7"/>
        <v>30000</v>
      </c>
      <c r="N18" s="22">
        <f t="shared" si="3"/>
        <v>0</v>
      </c>
      <c r="O18" s="22">
        <f t="shared" si="4"/>
        <v>0</v>
      </c>
      <c r="P18" s="2">
        <f t="shared" si="8"/>
        <v>7200</v>
      </c>
      <c r="Q18" s="2">
        <f t="shared" si="5"/>
        <v>0</v>
      </c>
      <c r="R18" s="2">
        <f t="shared" si="6"/>
        <v>0</v>
      </c>
      <c r="S18" s="12"/>
      <c r="T18" s="12"/>
      <c r="U18" s="12"/>
      <c r="V18" s="12"/>
      <c r="W18" s="12"/>
      <c r="X18" s="12"/>
    </row>
    <row r="19" spans="1:24" ht="17.25" thickTop="1" thickBot="1" x14ac:dyDescent="0.3">
      <c r="A19" s="6" t="s">
        <v>36</v>
      </c>
      <c r="B19" s="6" t="s">
        <v>14</v>
      </c>
      <c r="C19" s="5" t="s">
        <v>32</v>
      </c>
      <c r="D19" s="2">
        <v>2350297</v>
      </c>
      <c r="E19" s="2">
        <v>762457</v>
      </c>
      <c r="F19" s="2">
        <f t="shared" si="2"/>
        <v>1587840</v>
      </c>
      <c r="G19" s="22">
        <v>800000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f t="shared" si="7"/>
        <v>20000</v>
      </c>
      <c r="N19" s="22">
        <f t="shared" si="3"/>
        <v>0</v>
      </c>
      <c r="O19" s="22">
        <f t="shared" si="4"/>
        <v>0</v>
      </c>
      <c r="P19" s="2">
        <f t="shared" si="8"/>
        <v>4800</v>
      </c>
      <c r="Q19" s="2">
        <f t="shared" si="5"/>
        <v>0</v>
      </c>
      <c r="R19" s="2">
        <f t="shared" si="6"/>
        <v>0</v>
      </c>
      <c r="S19" s="12"/>
      <c r="T19" s="12"/>
      <c r="U19" s="12"/>
      <c r="V19" s="12"/>
      <c r="W19" s="12"/>
      <c r="X19" s="12"/>
    </row>
    <row r="20" spans="1:24" ht="17.25" thickTop="1" thickBot="1" x14ac:dyDescent="0.3">
      <c r="A20" s="6" t="s">
        <v>36</v>
      </c>
      <c r="B20" s="6" t="s">
        <v>15</v>
      </c>
      <c r="C20" s="3"/>
      <c r="D20" s="2">
        <v>2000000</v>
      </c>
      <c r="E20" s="2">
        <v>0</v>
      </c>
      <c r="F20" s="2">
        <f t="shared" si="2"/>
        <v>2000000</v>
      </c>
      <c r="G20" s="22">
        <f>F20*20%</f>
        <v>400000</v>
      </c>
      <c r="H20" s="22">
        <v>800000</v>
      </c>
      <c r="I20" s="22">
        <v>800000</v>
      </c>
      <c r="J20" s="22">
        <v>0</v>
      </c>
      <c r="K20" s="22">
        <v>0</v>
      </c>
      <c r="L20" s="22">
        <v>0</v>
      </c>
      <c r="M20" s="22">
        <f t="shared" si="7"/>
        <v>10000</v>
      </c>
      <c r="N20" s="22">
        <f t="shared" si="3"/>
        <v>20000</v>
      </c>
      <c r="O20" s="22">
        <f t="shared" si="4"/>
        <v>20000</v>
      </c>
      <c r="P20" s="2">
        <f t="shared" si="8"/>
        <v>2400</v>
      </c>
      <c r="Q20" s="2">
        <f t="shared" si="5"/>
        <v>4800</v>
      </c>
      <c r="R20" s="2">
        <f t="shared" si="6"/>
        <v>4800</v>
      </c>
      <c r="S20" s="12"/>
      <c r="T20" s="12"/>
      <c r="U20" s="12"/>
      <c r="V20" s="12"/>
      <c r="W20" s="12"/>
      <c r="X20" s="12"/>
    </row>
    <row r="21" spans="1:24" ht="17.25" thickTop="1" thickBot="1" x14ac:dyDescent="0.3">
      <c r="A21" s="6" t="s">
        <v>40</v>
      </c>
      <c r="B21" s="6" t="s">
        <v>16</v>
      </c>
      <c r="C21" s="5" t="s">
        <v>33</v>
      </c>
      <c r="D21" s="2">
        <v>2306195</v>
      </c>
      <c r="E21" s="2">
        <v>240625</v>
      </c>
      <c r="F21" s="2">
        <f t="shared" si="2"/>
        <v>2065570</v>
      </c>
      <c r="G21" s="22">
        <v>1200000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f t="shared" si="7"/>
        <v>30000</v>
      </c>
      <c r="N21" s="22">
        <f t="shared" si="3"/>
        <v>0</v>
      </c>
      <c r="O21" s="22">
        <f t="shared" si="4"/>
        <v>0</v>
      </c>
      <c r="P21" s="2">
        <f t="shared" si="8"/>
        <v>7200</v>
      </c>
      <c r="Q21" s="2">
        <f t="shared" si="5"/>
        <v>0</v>
      </c>
      <c r="R21" s="2">
        <f t="shared" si="6"/>
        <v>0</v>
      </c>
      <c r="S21" s="12"/>
      <c r="T21" s="12"/>
      <c r="U21" s="12"/>
      <c r="V21" s="12"/>
      <c r="W21" s="12"/>
      <c r="X21" s="12"/>
    </row>
    <row r="22" spans="1:24" ht="17.25" thickTop="1" thickBot="1" x14ac:dyDescent="0.3">
      <c r="A22" s="6" t="s">
        <v>38</v>
      </c>
      <c r="B22" s="6" t="s">
        <v>17</v>
      </c>
      <c r="C22" s="3"/>
      <c r="D22" s="2">
        <v>2000000</v>
      </c>
      <c r="E22" s="2">
        <v>0</v>
      </c>
      <c r="F22" s="2">
        <f t="shared" si="2"/>
        <v>2000000</v>
      </c>
      <c r="G22" s="22">
        <f>F22*20%</f>
        <v>400000</v>
      </c>
      <c r="H22" s="22">
        <v>800000</v>
      </c>
      <c r="I22" s="22">
        <v>800000</v>
      </c>
      <c r="J22" s="22">
        <v>0</v>
      </c>
      <c r="K22" s="22">
        <v>0</v>
      </c>
      <c r="L22" s="22">
        <v>0</v>
      </c>
      <c r="M22" s="22">
        <f t="shared" si="7"/>
        <v>10000</v>
      </c>
      <c r="N22" s="22">
        <f t="shared" si="3"/>
        <v>20000</v>
      </c>
      <c r="O22" s="22">
        <f t="shared" si="4"/>
        <v>20000</v>
      </c>
      <c r="P22" s="2">
        <f t="shared" si="8"/>
        <v>2400</v>
      </c>
      <c r="Q22" s="2">
        <f t="shared" si="5"/>
        <v>4800</v>
      </c>
      <c r="R22" s="2">
        <f t="shared" si="6"/>
        <v>4800</v>
      </c>
      <c r="S22" s="12"/>
      <c r="T22" s="12"/>
      <c r="U22" s="12"/>
      <c r="V22" s="12"/>
      <c r="W22" s="12"/>
      <c r="X22" s="12"/>
    </row>
    <row r="23" spans="1:24" ht="17.25" thickTop="1" thickBot="1" x14ac:dyDescent="0.3">
      <c r="A23" s="6" t="s">
        <v>42</v>
      </c>
      <c r="B23" s="6" t="s">
        <v>18</v>
      </c>
      <c r="C23" s="3"/>
      <c r="D23" s="2">
        <v>2600000</v>
      </c>
      <c r="E23" s="2">
        <v>0</v>
      </c>
      <c r="F23" s="2">
        <f t="shared" si="2"/>
        <v>2600000</v>
      </c>
      <c r="G23" s="22">
        <f>F23*20%</f>
        <v>520000</v>
      </c>
      <c r="H23" s="22">
        <v>800000</v>
      </c>
      <c r="I23" s="22">
        <v>800000</v>
      </c>
      <c r="J23" s="22">
        <v>0</v>
      </c>
      <c r="K23" s="22">
        <v>0</v>
      </c>
      <c r="L23" s="22">
        <v>0</v>
      </c>
      <c r="M23" s="22">
        <f t="shared" si="7"/>
        <v>13000</v>
      </c>
      <c r="N23" s="22">
        <f t="shared" si="3"/>
        <v>20000</v>
      </c>
      <c r="O23" s="22">
        <f t="shared" si="4"/>
        <v>20000</v>
      </c>
      <c r="P23" s="2">
        <f t="shared" si="8"/>
        <v>3120</v>
      </c>
      <c r="Q23" s="2">
        <f t="shared" si="5"/>
        <v>4800</v>
      </c>
      <c r="R23" s="2">
        <f t="shared" si="6"/>
        <v>4800</v>
      </c>
      <c r="S23" s="12"/>
      <c r="T23" s="12"/>
      <c r="U23" s="12"/>
      <c r="V23" s="12"/>
      <c r="W23" s="12"/>
      <c r="X23" s="12"/>
    </row>
    <row r="24" spans="1:24" ht="17.25" thickTop="1" thickBot="1" x14ac:dyDescent="0.3">
      <c r="A24" s="6" t="s">
        <v>42</v>
      </c>
      <c r="B24" s="6" t="s">
        <v>19</v>
      </c>
      <c r="C24" s="3"/>
      <c r="D24" s="2">
        <v>2200000</v>
      </c>
      <c r="E24" s="2">
        <v>0</v>
      </c>
      <c r="F24" s="2">
        <f t="shared" si="2"/>
        <v>2200000</v>
      </c>
      <c r="G24" s="22">
        <f>F24*20%</f>
        <v>440000</v>
      </c>
      <c r="H24" s="22">
        <v>800000</v>
      </c>
      <c r="I24" s="22">
        <v>800000</v>
      </c>
      <c r="J24" s="22">
        <v>0</v>
      </c>
      <c r="K24" s="22">
        <v>0</v>
      </c>
      <c r="L24" s="22">
        <v>0</v>
      </c>
      <c r="M24" s="22">
        <f t="shared" si="7"/>
        <v>11000</v>
      </c>
      <c r="N24" s="22">
        <f t="shared" si="3"/>
        <v>20000</v>
      </c>
      <c r="O24" s="22">
        <f t="shared" si="4"/>
        <v>20000</v>
      </c>
      <c r="P24" s="2">
        <f t="shared" si="8"/>
        <v>2640</v>
      </c>
      <c r="Q24" s="2">
        <f t="shared" si="5"/>
        <v>4800</v>
      </c>
      <c r="R24" s="2">
        <f t="shared" si="6"/>
        <v>4800</v>
      </c>
      <c r="S24" s="12"/>
      <c r="T24" s="12"/>
      <c r="U24" s="12"/>
      <c r="V24" s="12"/>
      <c r="W24" s="12"/>
      <c r="X24" s="12"/>
    </row>
    <row r="25" spans="1:24" ht="17.25" thickTop="1" thickBot="1" x14ac:dyDescent="0.3">
      <c r="A25" s="6" t="s">
        <v>42</v>
      </c>
      <c r="B25" s="6" t="s">
        <v>20</v>
      </c>
      <c r="C25" s="4">
        <v>46303</v>
      </c>
      <c r="D25" s="2">
        <v>1385971</v>
      </c>
      <c r="E25" s="2">
        <v>394514</v>
      </c>
      <c r="F25" s="2">
        <f t="shared" si="2"/>
        <v>991457</v>
      </c>
      <c r="G25" s="22">
        <v>400000</v>
      </c>
      <c r="H25" s="22">
        <v>400000</v>
      </c>
      <c r="I25" s="22">
        <v>0</v>
      </c>
      <c r="J25" s="22">
        <v>0</v>
      </c>
      <c r="K25" s="22">
        <v>0</v>
      </c>
      <c r="L25" s="22">
        <v>0</v>
      </c>
      <c r="M25" s="22">
        <f t="shared" si="7"/>
        <v>10000</v>
      </c>
      <c r="N25" s="22">
        <f t="shared" si="3"/>
        <v>10000</v>
      </c>
      <c r="O25" s="22">
        <f t="shared" si="4"/>
        <v>0</v>
      </c>
      <c r="P25" s="2">
        <f t="shared" si="8"/>
        <v>2400</v>
      </c>
      <c r="Q25" s="2">
        <f t="shared" si="5"/>
        <v>2400</v>
      </c>
      <c r="R25" s="2">
        <f t="shared" si="6"/>
        <v>0</v>
      </c>
      <c r="S25" s="12"/>
      <c r="T25" s="12"/>
      <c r="U25" s="12"/>
      <c r="V25" s="12"/>
      <c r="W25" s="12"/>
      <c r="X25" s="12"/>
    </row>
    <row r="26" spans="1:24" ht="17.25" thickTop="1" thickBot="1" x14ac:dyDescent="0.3">
      <c r="A26" s="6" t="s">
        <v>42</v>
      </c>
      <c r="B26" s="6" t="s">
        <v>21</v>
      </c>
      <c r="C26" s="3"/>
      <c r="D26" s="2">
        <v>2400000</v>
      </c>
      <c r="E26" s="2">
        <v>0</v>
      </c>
      <c r="F26" s="2">
        <f t="shared" si="2"/>
        <v>2400000</v>
      </c>
      <c r="G26" s="22">
        <f>F26*20%</f>
        <v>480000</v>
      </c>
      <c r="H26" s="22">
        <v>800000</v>
      </c>
      <c r="I26" s="22">
        <v>800000</v>
      </c>
      <c r="J26" s="22">
        <v>0</v>
      </c>
      <c r="K26" s="22">
        <v>0</v>
      </c>
      <c r="L26" s="22">
        <v>0</v>
      </c>
      <c r="M26" s="22">
        <f t="shared" si="7"/>
        <v>12000</v>
      </c>
      <c r="N26" s="22">
        <f t="shared" si="3"/>
        <v>20000</v>
      </c>
      <c r="O26" s="22">
        <f t="shared" si="4"/>
        <v>20000</v>
      </c>
      <c r="P26" s="2">
        <f t="shared" si="8"/>
        <v>2880</v>
      </c>
      <c r="Q26" s="2">
        <f t="shared" si="5"/>
        <v>4800</v>
      </c>
      <c r="R26" s="2">
        <f t="shared" si="6"/>
        <v>4800</v>
      </c>
      <c r="S26" s="13"/>
      <c r="T26" s="13"/>
      <c r="U26" s="13"/>
      <c r="V26" s="13"/>
      <c r="W26" s="13"/>
      <c r="X26" s="13"/>
    </row>
    <row r="27" spans="1:24" ht="17.25" thickTop="1" thickBot="1" x14ac:dyDescent="0.3"/>
    <row r="28" spans="1:24" ht="17.25" thickTop="1" thickBot="1" x14ac:dyDescent="0.3">
      <c r="A28" s="10" t="s">
        <v>45</v>
      </c>
      <c r="B28" s="10"/>
      <c r="G28" s="23">
        <f>+SUM(G5:G26)</f>
        <v>11194513.65</v>
      </c>
      <c r="H28" s="23">
        <f t="shared" ref="H28:X28" si="9">+SUM(H5:H26)</f>
        <v>8493519.25</v>
      </c>
      <c r="I28" s="23">
        <f t="shared" si="9"/>
        <v>8000000</v>
      </c>
      <c r="J28" s="23">
        <f t="shared" si="9"/>
        <v>0</v>
      </c>
      <c r="K28" s="23">
        <f t="shared" si="9"/>
        <v>0</v>
      </c>
      <c r="L28" s="23">
        <f t="shared" si="9"/>
        <v>0</v>
      </c>
      <c r="M28" s="23">
        <f t="shared" si="9"/>
        <v>269223.54375000001</v>
      </c>
      <c r="N28" s="23">
        <f t="shared" si="9"/>
        <v>212337.98125000001</v>
      </c>
      <c r="O28" s="23">
        <f t="shared" si="9"/>
        <v>200000</v>
      </c>
      <c r="P28" s="7">
        <f t="shared" si="9"/>
        <v>65689.929600000003</v>
      </c>
      <c r="Q28" s="7">
        <f t="shared" si="9"/>
        <v>50961.1155</v>
      </c>
      <c r="R28" s="7">
        <f t="shared" si="9"/>
        <v>48000</v>
      </c>
      <c r="S28" s="7">
        <f t="shared" si="9"/>
        <v>37360</v>
      </c>
      <c r="T28" s="7">
        <f t="shared" si="9"/>
        <v>37360</v>
      </c>
      <c r="U28" s="7">
        <f t="shared" si="9"/>
        <v>37360</v>
      </c>
      <c r="V28" s="7">
        <f t="shared" si="9"/>
        <v>10000</v>
      </c>
      <c r="W28" s="7">
        <f t="shared" si="9"/>
        <v>10000</v>
      </c>
      <c r="X28" s="7">
        <f t="shared" si="9"/>
        <v>10000</v>
      </c>
    </row>
    <row r="29" spans="1:24" ht="17.25" thickTop="1" thickBot="1" x14ac:dyDescent="0.3"/>
    <row r="30" spans="1:24" ht="16.5" thickBot="1" x14ac:dyDescent="0.3">
      <c r="E30" s="1" t="s">
        <v>60</v>
      </c>
      <c r="F30" s="1">
        <v>5112</v>
      </c>
      <c r="G30" s="24">
        <f>+G28-G31</f>
        <v>10864298.300000001</v>
      </c>
      <c r="H30" s="25">
        <f>+G30/1.2</f>
        <v>9053581.9166666679</v>
      </c>
      <c r="I30" s="26">
        <f>+H30*0.2</f>
        <v>1810716.3833333338</v>
      </c>
      <c r="J30" s="24">
        <f>+H28+N28+Q28</f>
        <v>8756818.3467499986</v>
      </c>
      <c r="K30" s="25">
        <f>+J30/1.2</f>
        <v>7297348.6222916655</v>
      </c>
      <c r="L30" s="26">
        <f>+K30*0.2</f>
        <v>1459469.7244583331</v>
      </c>
      <c r="M30" s="24">
        <f>+I28+O28+R28</f>
        <v>8248000</v>
      </c>
      <c r="N30" s="25">
        <f>+M30/1.2</f>
        <v>6873333.333333334</v>
      </c>
      <c r="O30" s="26">
        <f>+N30*0.2</f>
        <v>1374666.666666667</v>
      </c>
    </row>
    <row r="31" spans="1:24" x14ac:dyDescent="0.25">
      <c r="E31" s="1" t="s">
        <v>61</v>
      </c>
      <c r="F31" s="1">
        <v>5112</v>
      </c>
      <c r="G31" s="19">
        <f>SUM(G5,G6,G8)</f>
        <v>330215.34999999998</v>
      </c>
      <c r="H31" s="25">
        <f>+G31/1.2</f>
        <v>275179.45833333331</v>
      </c>
      <c r="I31" s="26">
        <f>+H31*0.2</f>
        <v>55035.891666666663</v>
      </c>
      <c r="J31" s="31"/>
      <c r="K31" s="32"/>
      <c r="L31" s="33"/>
      <c r="M31" s="31"/>
      <c r="N31" s="32"/>
      <c r="O31" s="33"/>
    </row>
    <row r="32" spans="1:24" x14ac:dyDescent="0.25">
      <c r="F32" s="1" t="s">
        <v>62</v>
      </c>
      <c r="G32" s="19">
        <f>+M28+P28</f>
        <v>334913.47334999999</v>
      </c>
      <c r="H32" s="32"/>
      <c r="I32" s="33"/>
      <c r="J32" s="31"/>
      <c r="K32" s="32"/>
      <c r="L32" s="33"/>
      <c r="M32" s="31"/>
      <c r="N32" s="32"/>
      <c r="O32" s="33"/>
    </row>
    <row r="33" spans="6:15" ht="16.5" thickBot="1" x14ac:dyDescent="0.3">
      <c r="F33" s="1">
        <v>5134</v>
      </c>
      <c r="G33" s="27">
        <f>+S28</f>
        <v>37360</v>
      </c>
      <c r="H33" s="28">
        <f>+G33/1.2</f>
        <v>31133.333333333336</v>
      </c>
      <c r="I33" s="29">
        <f>+H33*0.2</f>
        <v>6226.6666666666679</v>
      </c>
      <c r="J33" s="27">
        <v>37360</v>
      </c>
      <c r="K33" s="28">
        <f>+J33/1.2</f>
        <v>31133.333333333336</v>
      </c>
      <c r="L33" s="29">
        <f>+K33*0.2</f>
        <v>6226.6666666666679</v>
      </c>
      <c r="M33" s="27">
        <v>37360</v>
      </c>
      <c r="N33" s="28">
        <f>+M33/1.2</f>
        <v>31133.333333333336</v>
      </c>
      <c r="O33" s="29">
        <f>+N33*0.2</f>
        <v>6226.6666666666679</v>
      </c>
    </row>
    <row r="35" spans="6:15" x14ac:dyDescent="0.25">
      <c r="L35" s="19">
        <f>+H28+N28+Q28+T28+42000</f>
        <v>8836178.3467499986</v>
      </c>
      <c r="M35" s="19">
        <f>+L35-L36</f>
        <v>-976121.65325000137</v>
      </c>
    </row>
    <row r="36" spans="6:15" x14ac:dyDescent="0.25">
      <c r="G36" s="18">
        <f>9800000+1394513.7</f>
        <v>11194513.699999999</v>
      </c>
      <c r="H36" s="18"/>
      <c r="I36" s="18">
        <v>9820160</v>
      </c>
      <c r="J36" s="18"/>
      <c r="K36" s="18"/>
      <c r="L36" s="18">
        <v>9812300</v>
      </c>
      <c r="M36" s="18"/>
      <c r="O36" s="19">
        <v>9812300</v>
      </c>
    </row>
    <row r="37" spans="6:15" x14ac:dyDescent="0.25">
      <c r="G37" s="19">
        <f>334913.5+79360</f>
        <v>414273.5</v>
      </c>
      <c r="I37" s="19">
        <v>11621087.12335</v>
      </c>
      <c r="L37" s="19">
        <v>8869971.4127899986</v>
      </c>
      <c r="O37" s="19">
        <v>9812300</v>
      </c>
    </row>
    <row r="38" spans="6:15" x14ac:dyDescent="0.25">
      <c r="G38" s="19">
        <v>12300</v>
      </c>
      <c r="L38" s="19">
        <f>+L37-J33-J30</f>
        <v>75793.066039999947</v>
      </c>
    </row>
    <row r="39" spans="6:15" x14ac:dyDescent="0.25">
      <c r="G39" s="19">
        <f>SUM(G36:G38)</f>
        <v>11621087.199999999</v>
      </c>
    </row>
    <row r="41" spans="6:15" x14ac:dyDescent="0.25">
      <c r="G41" s="19">
        <f>+G28+J28+M28+P28+S28</f>
        <v>11566787.12335</v>
      </c>
    </row>
    <row r="42" spans="6:15" x14ac:dyDescent="0.25">
      <c r="G42" s="19">
        <f>+G41-G39</f>
        <v>-54300.076649999246</v>
      </c>
    </row>
    <row r="43" spans="6:15" x14ac:dyDescent="0.25">
      <c r="G43" s="19">
        <f>+G38+G42+35000+7000</f>
        <v>-7.6649999246001244E-2</v>
      </c>
    </row>
  </sheetData>
  <mergeCells count="13">
    <mergeCell ref="V3:X3"/>
    <mergeCell ref="A28:B28"/>
    <mergeCell ref="G3:I3"/>
    <mergeCell ref="J3:L3"/>
    <mergeCell ref="M3:O3"/>
    <mergeCell ref="P3:R3"/>
    <mergeCell ref="S3:U3"/>
    <mergeCell ref="V5:V26"/>
    <mergeCell ref="W5:W26"/>
    <mergeCell ref="X5:X26"/>
    <mergeCell ref="S5:S26"/>
    <mergeCell ref="T5:T26"/>
    <mergeCell ref="U5:U2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opLeftCell="A22" workbookViewId="0">
      <selection activeCell="C9" sqref="C9"/>
    </sheetView>
  </sheetViews>
  <sheetFormatPr defaultRowHeight="15" x14ac:dyDescent="0.25"/>
  <cols>
    <col min="1" max="1" width="30.5703125" bestFit="1" customWidth="1"/>
    <col min="2" max="2" width="15.28515625" bestFit="1" customWidth="1"/>
    <col min="3" max="3" width="22.7109375" customWidth="1"/>
  </cols>
  <sheetData>
    <row r="1" spans="1:5" x14ac:dyDescent="0.25">
      <c r="C1" t="s">
        <v>53</v>
      </c>
    </row>
    <row r="3" spans="1:5" x14ac:dyDescent="0.25">
      <c r="A3" t="s">
        <v>52</v>
      </c>
      <c r="B3" s="14">
        <v>12600000</v>
      </c>
      <c r="C3" s="16"/>
    </row>
    <row r="4" spans="1:5" x14ac:dyDescent="0.25">
      <c r="A4" t="s">
        <v>58</v>
      </c>
      <c r="B4" s="14">
        <v>2346431.42</v>
      </c>
      <c r="C4" s="16"/>
    </row>
    <row r="5" spans="1:5" x14ac:dyDescent="0.25">
      <c r="B5" s="14">
        <f>SUM(B3:B4)</f>
        <v>14946431.42</v>
      </c>
      <c r="C5" s="16">
        <f>+B5*400</f>
        <v>5978572568</v>
      </c>
    </row>
    <row r="6" spans="1:5" x14ac:dyDescent="0.25">
      <c r="A6" t="s">
        <v>59</v>
      </c>
      <c r="C6" s="16">
        <v>-2500000000</v>
      </c>
      <c r="D6">
        <f t="shared" ref="D6:D9" si="0">+C6/402.39/1000</f>
        <v>-6212.8780536295635</v>
      </c>
    </row>
    <row r="7" spans="1:5" x14ac:dyDescent="0.25">
      <c r="A7" t="s">
        <v>54</v>
      </c>
      <c r="C7" s="16">
        <v>-164482000</v>
      </c>
      <c r="D7">
        <f t="shared" si="0"/>
        <v>-408.76264320683919</v>
      </c>
    </row>
    <row r="8" spans="1:5" x14ac:dyDescent="0.25">
      <c r="A8" t="s">
        <v>55</v>
      </c>
      <c r="C8" s="16">
        <v>-140262100</v>
      </c>
      <c r="D8">
        <f t="shared" si="0"/>
        <v>-348.57252913839807</v>
      </c>
    </row>
    <row r="9" spans="1:5" x14ac:dyDescent="0.25">
      <c r="A9" t="s">
        <v>56</v>
      </c>
      <c r="C9" s="16">
        <f>-762500000-200000000-70000000</f>
        <v>-1032500000</v>
      </c>
      <c r="D9">
        <f t="shared" si="0"/>
        <v>-2565.9186361490097</v>
      </c>
      <c r="E9">
        <f>+D9*0.2</f>
        <v>-513.183727229802</v>
      </c>
    </row>
    <row r="10" spans="1:5" x14ac:dyDescent="0.25">
      <c r="C10" s="17">
        <f>SUM(C6:C9)</f>
        <v>-3837244100</v>
      </c>
      <c r="D10">
        <f>+C10/402.39/1000</f>
        <v>-9536.1318621238097</v>
      </c>
    </row>
    <row r="12" spans="1:5" x14ac:dyDescent="0.25">
      <c r="A12" t="s">
        <v>57</v>
      </c>
      <c r="C12" s="16">
        <f>SUM(C3:C9)</f>
        <v>2141328468</v>
      </c>
      <c r="D12">
        <f>+C12/400/1000</f>
        <v>5353.3211700000002</v>
      </c>
    </row>
    <row r="13" spans="1:5" x14ac:dyDescent="0.25">
      <c r="C13" s="16">
        <v>-861258500</v>
      </c>
    </row>
    <row r="14" spans="1:5" x14ac:dyDescent="0.25">
      <c r="C14" s="16">
        <f>SUM(C12:C13)</f>
        <v>1280069968</v>
      </c>
    </row>
    <row r="15" spans="1:5" x14ac:dyDescent="0.25">
      <c r="C15" s="1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8"/>
  <sheetViews>
    <sheetView workbookViewId="0">
      <selection activeCell="B6" sqref="B6:B8"/>
    </sheetView>
  </sheetViews>
  <sheetFormatPr defaultRowHeight="15" x14ac:dyDescent="0.25"/>
  <cols>
    <col min="2" max="2" width="10.5703125" bestFit="1" customWidth="1"/>
  </cols>
  <sheetData>
    <row r="2" spans="1:2" x14ac:dyDescent="0.25">
      <c r="B2">
        <v>61400</v>
      </c>
    </row>
    <row r="4" spans="1:2" x14ac:dyDescent="0.25">
      <c r="A4" t="s">
        <v>63</v>
      </c>
      <c r="B4" s="15">
        <f>+B2*0.03</f>
        <v>1842</v>
      </c>
    </row>
    <row r="5" spans="1:2" x14ac:dyDescent="0.25">
      <c r="B5" s="34">
        <f>+B2-B4</f>
        <v>59558</v>
      </c>
    </row>
    <row r="6" spans="1:2" x14ac:dyDescent="0.25">
      <c r="B6" s="34">
        <f>+B5-B7-B8</f>
        <v>59308</v>
      </c>
    </row>
    <row r="7" spans="1:2" x14ac:dyDescent="0.25">
      <c r="B7">
        <v>100</v>
      </c>
    </row>
    <row r="8" spans="1:2" x14ac:dyDescent="0.25">
      <c r="B8" s="34">
        <f>50*3</f>
        <v>150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Hayk Galstyan</dc:creator>
  <cp:lastModifiedBy>Karine Shahbazyan</cp:lastModifiedBy>
  <cp:lastPrinted>2024-02-27T11:53:17Z</cp:lastPrinted>
  <dcterms:created xsi:type="dcterms:W3CDTF">2015-06-05T18:17:20Z</dcterms:created>
  <dcterms:modified xsi:type="dcterms:W3CDTF">2024-02-29T14:48:46Z</dcterms:modified>
</cp:coreProperties>
</file>